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512" windowWidth="10104" windowHeight="9096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<sst xmlns="http://schemas.openxmlformats.org/spreadsheetml/2006/main" count="144" uniqueCount="95">
  <si>
    <t>ΕΠΙΦΑΝΕΙΑ Μ2</t>
  </si>
  <si>
    <t>ΜΕΤΡΑ ΜΗΚΟΥΣ ΜΜ</t>
  </si>
  <si>
    <t>ΣΥΝΟΛΑ</t>
  </si>
  <si>
    <t>1.ΠΛΑΤΕΙΑ</t>
  </si>
  <si>
    <t>2.ΧΩΡΟΣ ΣΤΑΘΜΕΥΣΗΣ</t>
  </si>
  <si>
    <t>3.ΑΥΛΗ ΛΑΟΓΡΑΦΙΚΟΥ ΣΧΟΛΕΙΟΥ</t>
  </si>
  <si>
    <t>4.ΑΝΩ ΣΥΜΠΛΕΓΜΑ ΜΟΝΟΠΑΤΙΩΝ</t>
  </si>
  <si>
    <t>5.ΚΑΤΩ ΣΥΜΠΛΕΓΜΑ ΜΟΝΟΠΑΤΙΩΝ</t>
  </si>
  <si>
    <t>7.ΜΟΝΟΠΑΤΙ ΠΡΟΣ ΛΑΟΓΡΑΦΙΚΟ ΜΟΥΣΕΙΟ</t>
  </si>
  <si>
    <t>8.ΜΟΝΟΠΑΤΙ ΠΡΟΣ ΠΛΑΤΕΙΑ</t>
  </si>
  <si>
    <t>9.ΜΟΝΟΠΑΤΙ ΠΑΡΑΛΛΗΛΟ ΣΤΗΝ ΕΠΑΡΧΙΑΚΗ ΟΔΟ</t>
  </si>
  <si>
    <t>6.ΜΟΝΟΠΑΤΙ ΚΑΘΕΤΟ ΣΤΑ ΑΝΩ-ΚΑΤΩ ΣΥΜΠΛΕΓΜΑΤΑ</t>
  </si>
  <si>
    <t>ΣΥΝΟΛΟ</t>
  </si>
  <si>
    <t>1.1.1</t>
  </si>
  <si>
    <t>1.1.2</t>
  </si>
  <si>
    <t>1.1.3</t>
  </si>
  <si>
    <t>1.1.9</t>
  </si>
  <si>
    <t>1.1.7</t>
  </si>
  <si>
    <t>1.2.2</t>
  </si>
  <si>
    <t>1.2.7</t>
  </si>
  <si>
    <t>1.3.1</t>
  </si>
  <si>
    <t>1.3.2</t>
  </si>
  <si>
    <t>1.3.3</t>
  </si>
  <si>
    <t>1.1.11</t>
  </si>
  <si>
    <t>ΕΞΥΓΙΑΝΤΙΚΗ ΣΤΡΩΣΗ         Μ3</t>
  </si>
  <si>
    <t>ΥΠΟΒΑΣΗ    Μ3</t>
  </si>
  <si>
    <t>ΚΑΘΑΙΡΕΣΕΙΣ ΣΚΥΡ/ΤΟΣ    Μ3</t>
  </si>
  <si>
    <t>ΕΚΣΚΑΦΕΣ ΓΑΙΩΔΗ ME MHXANIKA MEΣΑ Μ3</t>
  </si>
  <si>
    <t>Α.Τ.</t>
  </si>
  <si>
    <t>ΣΚΥΡΟΔΕΜΑ  C12/15                 M3</t>
  </si>
  <si>
    <t>ΣΚΥΡΟΔΕΜΑ  C16/20                 M3</t>
  </si>
  <si>
    <t>1.2.1</t>
  </si>
  <si>
    <t>1.2.3</t>
  </si>
  <si>
    <t>ΕΚΣΚΑΦΕΣ ΤΑΦΡΩΝ ΧΩΡΙΣ MHXANIKA MEΣΑ                            Μ3</t>
  </si>
  <si>
    <t>1.2.4</t>
  </si>
  <si>
    <t>ΞΥΛΟΤΥΠΟΙ  ΚΑΜΠΥΛΟΙ   Μ2</t>
  </si>
  <si>
    <t>1.2.5</t>
  </si>
  <si>
    <t>1.2.6</t>
  </si>
  <si>
    <t>ΕΠΙΣΤΡΩΣΗ ΠΕΤΡΙΝΩΝ ΚΥΒΟΛΙΘΩΝ Μ2</t>
  </si>
  <si>
    <t>ΔΟΜΙΚΑ ΠΛΕΓΜΑΤΑ Β500C   ΚGR</t>
  </si>
  <si>
    <t>ΧΑΛΥΒΔΙΝΟΙ ΟΠΛΙΣΜΟΙ  B500C       ΚGR</t>
  </si>
  <si>
    <t>ΕΠΙΣΤΡΩΣΗ ΤΕΤΡΑΓΩΝΙΚΩΝ ΠΕΤΡΙΝΩΝ ΠΛΑΚΩΝ            Μ2</t>
  </si>
  <si>
    <t>ΕΠΙΣΤΡΩΣΗ ΟΡΘΟΓΩΝΙΚΩΝ ΠΕΤΡΙΝΩΝ ΠΛΑΚΩΝ            Μ2</t>
  </si>
  <si>
    <t>ΞΥΛΟΤΥΠΟΙ  ΜΙΚΡΟ ΚΑΤΑΣΚΕΥΩΝ      Μ2</t>
  </si>
  <si>
    <t>1.2.8</t>
  </si>
  <si>
    <t>1.2.9</t>
  </si>
  <si>
    <t>1.2.10</t>
  </si>
  <si>
    <t>ΠΙΝΑΚΑΣ Ο1</t>
  </si>
  <si>
    <t>ΠΙΝΑΚΑΣ Ο2</t>
  </si>
  <si>
    <t>ΠΙΝΑΚΑΣ Ο3</t>
  </si>
  <si>
    <t>1.3.5</t>
  </si>
  <si>
    <t>1.3.6</t>
  </si>
  <si>
    <t>ΓΩΝΙΟ ΛΙΘΟΔΟΜΕΣ    Μ3</t>
  </si>
  <si>
    <t>1.3.7</t>
  </si>
  <si>
    <t>ΕΓΧΡΩΜΑ ΕΠΙΧΡΙΣΜΑΤΑ Μ2</t>
  </si>
  <si>
    <t>ΠΙΝΑΚΑΣ Ο4</t>
  </si>
  <si>
    <t>1.4.1</t>
  </si>
  <si>
    <t>1.4.6</t>
  </si>
  <si>
    <t>ΞΥΛΙΝΗ ΠΕΡΓΚΟΛΑ            Μ3</t>
  </si>
  <si>
    <t>ΧΡΩΜΑΤΙΣΜΟΙ ΞΥΛΙΝΩΝ ΕΠΙΦΑΝΕΙΩΝ        Μ2</t>
  </si>
  <si>
    <t>1.4.(2-3-4-5)</t>
  </si>
  <si>
    <t xml:space="preserve">ΤΟΠΟΘΕΣΙΑ ΕΡΓΑΣΙΩΝ / ΕΡΓΑΣΙΕΣ </t>
  </si>
  <si>
    <t>ΠΙΝΑΚΑΣ Ο5</t>
  </si>
  <si>
    <t>1.5.1</t>
  </si>
  <si>
    <t>1.5.2</t>
  </si>
  <si>
    <t>1.5.3</t>
  </si>
  <si>
    <t>ΔΕΝΤΡΑ ΚΗΑΓΟΡΙΑΣ Δ5                   ΤΕΜ</t>
  </si>
  <si>
    <t>ΦΥΤΕΥΣΗ ΦΥΤΩΝ           ΤΕΜ</t>
  </si>
  <si>
    <t>ΒΕΛΤΙΩΤΙΚΑ ΕΔΑΦΟΥΣ     Μ3</t>
  </si>
  <si>
    <t>ΜΟΡΦΩΣΗ ΑΚΜΩΝ            ΜΜ</t>
  </si>
  <si>
    <t>ΔΙΑΜΟΡΦΩΣΗ ΟΨΕΩΝ ΓΩΝΙΟ ΛΙΘΟΔΟΜΩΝ      Μ2</t>
  </si>
  <si>
    <t xml:space="preserve"> </t>
  </si>
  <si>
    <t>ΦΟΡΤΟ ΕΚΦΟΡΤΩΣΗ ΜΕ ΜΗΧΑΝΙΚΑ ΜΕΣΑ                  Μ3</t>
  </si>
  <si>
    <t>1.3.8</t>
  </si>
  <si>
    <t>ΞΥΛΙΝΟ ΚΥΓΚΛΙΔΩΜΑ ΜΜ</t>
  </si>
  <si>
    <t>1.4.7</t>
  </si>
  <si>
    <t>ΔΙΑΜΟΡΦΩΣΗ ΟΨΕΩΝ ΛΙΘΟΔΟΜΩΝ        Μ3</t>
  </si>
  <si>
    <t>ΚΥΓΚΛΙΔΩΜΑ ΑΠΟ ΑΝΟΞΕΙΔΩΤΟ ΧΑΛΥΒΑ             KGR</t>
  </si>
  <si>
    <t>ΠΛΑΚΕΣ ΟΔΕΥΣΗΣ       M2</t>
  </si>
  <si>
    <t>ΜΕΛΕΤΗΤΗΣ</t>
  </si>
  <si>
    <t>ΑΦΡΟΔΙΤΗ ΠΑΠΑΔΑΚΗ</t>
  </si>
  <si>
    <t>ΑΡΧΙΤΕΚΤΩΝ ΜΗΧΑΝΙΚΟΣ</t>
  </si>
  <si>
    <t>ΝΟΕΜΒΡΙΟΣ 2012</t>
  </si>
  <si>
    <t>ΕΚΣΚΑΦΕΣ ΒΡΑΧΩΔΗ   ME MHXANIKA MEΣΑ              Μ3</t>
  </si>
  <si>
    <t>ΚΟΠΗ ΑΣΦΑΛΤ/ ΔΕΜΑΤΟΣ ΜΜ</t>
  </si>
  <si>
    <t>1.1.4</t>
  </si>
  <si>
    <t>1.1.6</t>
  </si>
  <si>
    <t>1.1.10</t>
  </si>
  <si>
    <t>ΑΡΓΟΛΙΘΟΔΟΜΕΣ 2 ΟΨΕΩΝ               Μ3</t>
  </si>
  <si>
    <t>ΑΡΓΟΛΙΘΟΔΟΜΕΣ 1 ΟΨΗΣ                 Μ3</t>
  </si>
  <si>
    <t>1.4.8</t>
  </si>
  <si>
    <t>1.4.9</t>
  </si>
  <si>
    <t>ΚΑΔΟΣ ΑΠΟΡΡΙΜΑΤΩΝ ΤΕΜ</t>
  </si>
  <si>
    <t>ΤΡΑΠΕΖΟ    ΠΑΓΚΟΣ          ΤΕΜ</t>
  </si>
  <si>
    <t>ΜΕΤΑΦΟΡΑ ΥΛΙΚΩΝ ΜΕ ΜΟΝΟΤΡΟΧΟ t*10Μ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</si>
</sst>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5"/>
  <sheetViews>
    <sheetView tabSelected="1" zoomScale="75" zoomScaleNormal="75" workbookViewId="0" topLeftCell="A1">
      <selection activeCell="P6" sqref="P6"/>
    </sheetView>
  </sheetViews>
  <sheetFormatPr defaultColWidth="9.140625" defaultRowHeight="12.75"/>
  <cols>
    <col min="1" max="1" width="6.28125" style="0" customWidth="1"/>
    <col min="2" max="2" width="26.28125" style="5" customWidth="1"/>
    <col min="3" max="3" width="12.140625" style="1" customWidth="1"/>
    <col min="4" max="4" width="9.57421875" style="1" customWidth="1"/>
    <col min="5" max="5" width="12.7109375" style="1" customWidth="1"/>
    <col min="6" max="6" width="13.140625" style="1" customWidth="1"/>
    <col min="7" max="7" width="14.00390625" style="1" customWidth="1"/>
    <col min="8" max="8" width="13.28125" style="1" customWidth="1"/>
    <col min="9" max="9" width="10.57421875" style="1" customWidth="1"/>
    <col min="10" max="10" width="12.8515625" style="1" customWidth="1"/>
    <col min="11" max="11" width="13.7109375" style="1" customWidth="1"/>
    <col min="12" max="12" width="14.28125" style="1" customWidth="1"/>
    <col min="13" max="13" width="13.7109375" style="9" customWidth="1"/>
    <col min="14" max="14" width="11.7109375" style="1" customWidth="1"/>
    <col min="15" max="15" width="9.28125" style="1" customWidth="1"/>
    <col min="16" max="16" width="18.28125" style="1" customWidth="1"/>
    <col min="17" max="17" width="16.140625" style="1" customWidth="1"/>
    <col min="18" max="18" width="12.8515625" style="1" customWidth="1"/>
    <col min="19" max="19" width="13.7109375" style="1" customWidth="1"/>
    <col min="20" max="20" width="12.8515625" style="0" customWidth="1"/>
  </cols>
  <sheetData>
    <row r="1" spans="2:16" ht="17.25">
      <c r="B1" s="7" t="s">
        <v>47</v>
      </c>
      <c r="P1" s="7"/>
    </row>
    <row r="2" spans="2:19" s="3" customFormat="1" ht="12.75">
      <c r="B2" s="41"/>
      <c r="C2" s="52" t="s">
        <v>28</v>
      </c>
      <c r="D2" s="20"/>
      <c r="E2" s="18" t="s">
        <v>13</v>
      </c>
      <c r="F2" s="18" t="s">
        <v>14</v>
      </c>
      <c r="G2" s="18" t="s">
        <v>15</v>
      </c>
      <c r="H2" s="18" t="s">
        <v>85</v>
      </c>
      <c r="I2" s="18" t="s">
        <v>86</v>
      </c>
      <c r="J2" s="18"/>
      <c r="K2" s="18" t="s">
        <v>17</v>
      </c>
      <c r="L2" s="18" t="s">
        <v>16</v>
      </c>
      <c r="M2" s="19" t="s">
        <v>87</v>
      </c>
      <c r="N2" s="58" t="s">
        <v>23</v>
      </c>
      <c r="O2" s="60"/>
      <c r="Q2" s="2"/>
      <c r="R2" s="2"/>
      <c r="S2" s="2"/>
    </row>
    <row r="3" spans="2:20" ht="67.5" customHeight="1">
      <c r="B3" s="17" t="s">
        <v>61</v>
      </c>
      <c r="C3" s="16" t="s">
        <v>0</v>
      </c>
      <c r="D3" s="16" t="s">
        <v>1</v>
      </c>
      <c r="E3" s="16" t="s">
        <v>27</v>
      </c>
      <c r="F3" s="16" t="s">
        <v>83</v>
      </c>
      <c r="G3" s="16" t="s">
        <v>33</v>
      </c>
      <c r="H3" s="16" t="s">
        <v>24</v>
      </c>
      <c r="I3" s="16" t="s">
        <v>25</v>
      </c>
      <c r="J3" s="16"/>
      <c r="K3" s="16" t="s">
        <v>26</v>
      </c>
      <c r="L3" s="16" t="s">
        <v>72</v>
      </c>
      <c r="M3" s="39" t="s">
        <v>94</v>
      </c>
      <c r="N3" s="39" t="s">
        <v>84</v>
      </c>
      <c r="O3" s="46"/>
      <c r="T3" s="1"/>
    </row>
    <row r="4" spans="2:15" ht="12.75">
      <c r="B4" s="21" t="s">
        <v>3</v>
      </c>
      <c r="C4" s="23">
        <v>334</v>
      </c>
      <c r="D4" s="23"/>
      <c r="E4" s="23">
        <f>C4*0.5</f>
        <v>167</v>
      </c>
      <c r="F4" s="23"/>
      <c r="G4" s="23"/>
      <c r="H4" s="23"/>
      <c r="I4" s="23">
        <f>C4*0.1</f>
        <v>33.4</v>
      </c>
      <c r="J4" s="23"/>
      <c r="K4" s="23"/>
      <c r="L4" s="23">
        <f>E4</f>
        <v>167</v>
      </c>
      <c r="M4" s="38"/>
      <c r="N4" s="59"/>
      <c r="O4" s="46"/>
    </row>
    <row r="5" spans="2:15" ht="15.75" customHeight="1">
      <c r="B5" s="22" t="s">
        <v>4</v>
      </c>
      <c r="C5" s="12">
        <f>(81.56+68.56)</f>
        <v>150.12</v>
      </c>
      <c r="D5" s="12"/>
      <c r="E5" s="12">
        <f>(81.56+68.56)*0.45</f>
        <v>67.554</v>
      </c>
      <c r="F5" s="12">
        <f>(81.56+68.56)*0.05</f>
        <v>7.506</v>
      </c>
      <c r="G5" s="12"/>
      <c r="H5" s="12">
        <f>C5*0.2</f>
        <v>30.024</v>
      </c>
      <c r="I5" s="12">
        <f>C5*0.1</f>
        <v>15.012</v>
      </c>
      <c r="J5" s="12"/>
      <c r="K5" s="12">
        <v>0</v>
      </c>
      <c r="L5" s="12">
        <f>E5+F5</f>
        <v>75.06</v>
      </c>
      <c r="M5" s="37"/>
      <c r="N5" s="46"/>
      <c r="O5" s="46"/>
    </row>
    <row r="6" spans="2:15" ht="26.25">
      <c r="B6" s="22" t="s">
        <v>5</v>
      </c>
      <c r="C6" s="12">
        <v>188.64</v>
      </c>
      <c r="D6" s="12"/>
      <c r="E6" s="12"/>
      <c r="F6" s="25"/>
      <c r="G6" s="25">
        <f>78.88*0.38</f>
        <v>29.9744</v>
      </c>
      <c r="H6" s="25">
        <f>78.88*0.2</f>
        <v>15.776</v>
      </c>
      <c r="I6" s="25">
        <f>78.88*0.1</f>
        <v>7.888</v>
      </c>
      <c r="J6" s="25"/>
      <c r="K6" s="25">
        <f>78.88*0.12</f>
        <v>9.465599999999998</v>
      </c>
      <c r="L6" s="12">
        <f>G6+K6</f>
        <v>39.44</v>
      </c>
      <c r="M6" s="37">
        <f>(G6*1.7+H6*1.6+I6*1.6+K6*2)*2.5</f>
        <v>269.3752</v>
      </c>
      <c r="N6" s="46">
        <f>20*2</f>
        <v>40</v>
      </c>
      <c r="O6" s="61"/>
    </row>
    <row r="7" spans="2:15" ht="30" customHeight="1">
      <c r="B7" s="22" t="s">
        <v>6</v>
      </c>
      <c r="C7" s="12">
        <f>511.77</f>
        <v>511.77</v>
      </c>
      <c r="D7" s="12">
        <v>218.17</v>
      </c>
      <c r="E7" s="12">
        <f>104.59*0.38</f>
        <v>39.7442</v>
      </c>
      <c r="F7" s="12">
        <f>104.59*0.12</f>
        <v>12.5508</v>
      </c>
      <c r="G7" s="25"/>
      <c r="H7" s="25">
        <f>C7*0.2</f>
        <v>102.354</v>
      </c>
      <c r="I7" s="25">
        <f>C7*0.1</f>
        <v>51.177</v>
      </c>
      <c r="J7" s="25"/>
      <c r="K7" s="25"/>
      <c r="L7" s="12">
        <f>E7+F7</f>
        <v>52.295</v>
      </c>
      <c r="M7" s="37"/>
      <c r="N7" s="46">
        <f>D7*2</f>
        <v>436.34</v>
      </c>
      <c r="O7" s="46"/>
    </row>
    <row r="8" spans="2:15" ht="26.25">
      <c r="B8" s="22" t="s">
        <v>7</v>
      </c>
      <c r="C8" s="12">
        <f>236.81+27.84+98.16</f>
        <v>362.80999999999995</v>
      </c>
      <c r="D8" s="12">
        <v>214.46</v>
      </c>
      <c r="E8" s="12"/>
      <c r="F8" s="25"/>
      <c r="G8" s="25">
        <f>(45.08+47.53+13.45)*0.36+98.16*0.5</f>
        <v>87.26159999999999</v>
      </c>
      <c r="H8" s="25">
        <f>(45.08+47.53+13.45)*0.2+98.16*0.2</f>
        <v>40.84400000000001</v>
      </c>
      <c r="I8" s="25">
        <f>(45.08+47.53+13.45)*0.1+98.16*0.1</f>
        <v>20.422000000000004</v>
      </c>
      <c r="J8" s="25"/>
      <c r="K8" s="25">
        <f>(45.08+47.53+13.45)*0.14</f>
        <v>14.848400000000002</v>
      </c>
      <c r="L8" s="12">
        <f>G8+K8</f>
        <v>102.10999999999999</v>
      </c>
      <c r="M8" s="37">
        <f>(H8*1.7+I8*1.6+K8*2+G8*1.7)*4</f>
        <v>1120.60608</v>
      </c>
      <c r="N8" s="46">
        <f>D8*2</f>
        <v>428.92</v>
      </c>
      <c r="O8" s="61"/>
    </row>
    <row r="9" spans="2:17" ht="26.25">
      <c r="B9" s="22" t="s">
        <v>11</v>
      </c>
      <c r="C9" s="12">
        <v>60.5</v>
      </c>
      <c r="D9" s="12">
        <v>39.78</v>
      </c>
      <c r="E9" s="12"/>
      <c r="F9" s="12"/>
      <c r="G9" s="25">
        <f>14.3*0.5</f>
        <v>7.15</v>
      </c>
      <c r="H9" s="25">
        <f>14.3*0.2</f>
        <v>2.8600000000000003</v>
      </c>
      <c r="I9" s="25">
        <f>14.3*0.1</f>
        <v>1.4300000000000002</v>
      </c>
      <c r="J9" s="25"/>
      <c r="K9" s="25"/>
      <c r="L9" s="12">
        <f>G9</f>
        <v>7.15</v>
      </c>
      <c r="M9" s="37">
        <f>(H9*1.6+I9*1.6+G9*1.7)*2.5</f>
        <v>47.54750000000001</v>
      </c>
      <c r="N9" s="46">
        <f>D9*2</f>
        <v>79.56</v>
      </c>
      <c r="O9" s="61"/>
      <c r="Q9" s="4"/>
    </row>
    <row r="10" spans="2:15" ht="26.25">
      <c r="B10" s="22" t="s">
        <v>8</v>
      </c>
      <c r="C10" s="12">
        <v>39.9</v>
      </c>
      <c r="D10" s="12">
        <v>21.39</v>
      </c>
      <c r="E10" s="12"/>
      <c r="F10" s="12"/>
      <c r="G10" s="12"/>
      <c r="H10" s="12"/>
      <c r="I10" s="12"/>
      <c r="J10" s="12"/>
      <c r="K10" s="12"/>
      <c r="L10" s="12"/>
      <c r="M10" s="37"/>
      <c r="N10" s="46">
        <f>D10*2</f>
        <v>42.78</v>
      </c>
      <c r="O10" s="46"/>
    </row>
    <row r="11" spans="2:15" ht="12.75">
      <c r="B11" s="22" t="s">
        <v>9</v>
      </c>
      <c r="C11" s="12">
        <v>86.26</v>
      </c>
      <c r="D11" s="12">
        <v>30.02</v>
      </c>
      <c r="E11" s="12">
        <f>C11*0.45</f>
        <v>38.817</v>
      </c>
      <c r="F11" s="12">
        <f>C11*0.05</f>
        <v>4.313000000000001</v>
      </c>
      <c r="G11" s="12"/>
      <c r="H11" s="12">
        <f>C11*0.2</f>
        <v>17.252000000000002</v>
      </c>
      <c r="I11" s="12">
        <f>C11*0.1</f>
        <v>8.626000000000001</v>
      </c>
      <c r="J11" s="12"/>
      <c r="K11" s="12"/>
      <c r="L11" s="12">
        <f>E11+F11</f>
        <v>43.13</v>
      </c>
      <c r="M11" s="37"/>
      <c r="N11" s="46"/>
      <c r="O11" s="46"/>
    </row>
    <row r="12" spans="2:15" ht="26.25">
      <c r="B12" s="22" t="s">
        <v>10</v>
      </c>
      <c r="C12" s="12">
        <v>271.38</v>
      </c>
      <c r="D12" s="12">
        <v>90.97</v>
      </c>
      <c r="E12" s="12">
        <f>C12*0.38</f>
        <v>103.1244</v>
      </c>
      <c r="F12" s="12">
        <f>C12*0.12</f>
        <v>32.565599999999996</v>
      </c>
      <c r="G12" s="12"/>
      <c r="H12" s="12">
        <f>C12*0.2</f>
        <v>54.276</v>
      </c>
      <c r="I12" s="12">
        <f>C12*0.1</f>
        <v>27.138</v>
      </c>
      <c r="J12" s="12"/>
      <c r="K12" s="12"/>
      <c r="L12" s="12">
        <f>E12+F12</f>
        <v>135.69</v>
      </c>
      <c r="M12" s="37"/>
      <c r="N12" s="46"/>
      <c r="O12" s="46"/>
    </row>
    <row r="13" spans="2:18" s="3" customFormat="1" ht="12.75">
      <c r="B13" s="18" t="s">
        <v>2</v>
      </c>
      <c r="C13" s="18">
        <f aca="true" t="shared" si="0" ref="C13:K13">SUM(C4:C12)</f>
        <v>2005.38</v>
      </c>
      <c r="D13" s="18">
        <f t="shared" si="0"/>
        <v>614.79</v>
      </c>
      <c r="E13" s="18">
        <f t="shared" si="0"/>
        <v>416.2396</v>
      </c>
      <c r="F13" s="18">
        <f>SUM(F4:F12)</f>
        <v>56.9354</v>
      </c>
      <c r="G13" s="18">
        <f>SUM(G4:G12)</f>
        <v>124.386</v>
      </c>
      <c r="H13" s="18">
        <f>SUM(H4:H12)</f>
        <v>263.386</v>
      </c>
      <c r="I13" s="18">
        <f>SUM(I4:I12)</f>
        <v>165.09300000000002</v>
      </c>
      <c r="J13" s="18"/>
      <c r="K13" s="18">
        <f t="shared" si="0"/>
        <v>24.314</v>
      </c>
      <c r="L13" s="14">
        <f>SUM(L4:L12)</f>
        <v>621.875</v>
      </c>
      <c r="M13" s="32">
        <f>SUM(M4:M12)</f>
        <v>1437.5287799999999</v>
      </c>
      <c r="N13" s="58">
        <f>SUM(N4:N12)</f>
        <v>1027.6</v>
      </c>
      <c r="O13" s="62"/>
      <c r="Q13" s="2"/>
      <c r="R13" s="2"/>
    </row>
    <row r="14" spans="2:19" s="3" customFormat="1" ht="12.75"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8"/>
      <c r="N14" s="2"/>
      <c r="O14" s="2"/>
      <c r="P14" s="2"/>
      <c r="Q14" s="2"/>
      <c r="R14" s="2"/>
      <c r="S14" s="2"/>
    </row>
    <row r="15" ht="17.25">
      <c r="B15" s="7" t="s">
        <v>48</v>
      </c>
    </row>
    <row r="16" spans="2:19" s="8" customFormat="1" ht="12.75">
      <c r="B16" s="41"/>
      <c r="C16" s="52" t="s">
        <v>28</v>
      </c>
      <c r="D16" s="20"/>
      <c r="E16" s="18" t="s">
        <v>31</v>
      </c>
      <c r="F16" s="18" t="s">
        <v>18</v>
      </c>
      <c r="G16" s="18" t="s">
        <v>32</v>
      </c>
      <c r="H16" s="18" t="s">
        <v>34</v>
      </c>
      <c r="I16" s="18" t="s">
        <v>36</v>
      </c>
      <c r="J16" s="14" t="s">
        <v>37</v>
      </c>
      <c r="K16" s="18" t="s">
        <v>19</v>
      </c>
      <c r="L16" s="14" t="s">
        <v>44</v>
      </c>
      <c r="M16" s="18" t="s">
        <v>45</v>
      </c>
      <c r="N16" s="18" t="s">
        <v>46</v>
      </c>
      <c r="O16" s="2"/>
      <c r="P16" s="2"/>
      <c r="Q16" s="2"/>
      <c r="R16" s="2"/>
      <c r="S16" s="2"/>
    </row>
    <row r="17" spans="2:20" ht="67.5" customHeight="1">
      <c r="B17" s="17" t="s">
        <v>61</v>
      </c>
      <c r="C17" s="16" t="s">
        <v>0</v>
      </c>
      <c r="D17" s="16" t="s">
        <v>1</v>
      </c>
      <c r="E17" s="30" t="s">
        <v>30</v>
      </c>
      <c r="F17" s="16" t="s">
        <v>29</v>
      </c>
      <c r="G17" s="30" t="s">
        <v>43</v>
      </c>
      <c r="H17" s="30" t="s">
        <v>35</v>
      </c>
      <c r="I17" s="16" t="s">
        <v>39</v>
      </c>
      <c r="J17" s="30" t="s">
        <v>40</v>
      </c>
      <c r="K17" s="16" t="s">
        <v>38</v>
      </c>
      <c r="L17" s="16" t="s">
        <v>41</v>
      </c>
      <c r="M17" s="16" t="s">
        <v>42</v>
      </c>
      <c r="N17" s="16" t="s">
        <v>78</v>
      </c>
      <c r="T17" s="1"/>
    </row>
    <row r="18" spans="2:14" ht="12.75">
      <c r="B18" s="21" t="s">
        <v>3</v>
      </c>
      <c r="C18" s="23">
        <v>334</v>
      </c>
      <c r="D18" s="23"/>
      <c r="E18" s="31">
        <f>(13.5+37.4)*0.0046</f>
        <v>0.23414</v>
      </c>
      <c r="F18" s="23">
        <f>C4*0.12</f>
        <v>40.08</v>
      </c>
      <c r="G18" s="31">
        <f>(13.5+37.4)*0.22</f>
        <v>11.198</v>
      </c>
      <c r="H18" s="31">
        <f>2*0.05*(36.69+24.99+6.99)</f>
        <v>6.866999999999999</v>
      </c>
      <c r="I18" s="23">
        <f>(K18+L18+M18+N18)*2</f>
        <v>582.7</v>
      </c>
      <c r="J18" s="31"/>
      <c r="K18" s="23">
        <v>44.26</v>
      </c>
      <c r="L18" s="23">
        <v>101.14</v>
      </c>
      <c r="M18" s="23">
        <v>129.98</v>
      </c>
      <c r="N18" s="23">
        <v>15.97</v>
      </c>
    </row>
    <row r="19" spans="2:14" ht="12.75">
      <c r="B19" s="22" t="s">
        <v>4</v>
      </c>
      <c r="C19" s="12">
        <f>C5</f>
        <v>150.12</v>
      </c>
      <c r="D19" s="12"/>
      <c r="E19" s="25">
        <f>(1.82+29.31+17.75)*0.0046</f>
        <v>0.22484799999999996</v>
      </c>
      <c r="F19" s="12">
        <f>C5*0.12</f>
        <v>18.0144</v>
      </c>
      <c r="G19" s="25">
        <f>(1.82+29.31+17.75)*0.22</f>
        <v>10.753599999999999</v>
      </c>
      <c r="H19" s="25"/>
      <c r="I19" s="12">
        <f>(K19+L19+N19)*2</f>
        <v>300.24</v>
      </c>
      <c r="J19" s="25"/>
      <c r="K19" s="12">
        <v>81.56</v>
      </c>
      <c r="L19" s="12">
        <v>60.54</v>
      </c>
      <c r="M19" s="12"/>
      <c r="N19" s="12">
        <v>8.02</v>
      </c>
    </row>
    <row r="20" spans="2:14" ht="26.25">
      <c r="B20" s="22" t="s">
        <v>5</v>
      </c>
      <c r="C20" s="12">
        <v>188.64</v>
      </c>
      <c r="D20" s="12"/>
      <c r="E20" s="25">
        <f>(3.22+0.52+21.18)*0.0046</f>
        <v>0.11463200000000001</v>
      </c>
      <c r="F20" s="12">
        <f>C6*0.12</f>
        <v>22.636799999999997</v>
      </c>
      <c r="G20" s="25">
        <f>(3.22+0.52+21.18)*0.22</f>
        <v>5.4824</v>
      </c>
      <c r="H20" s="25"/>
      <c r="I20" s="12">
        <f>(M20+N20)*2</f>
        <v>373.66</v>
      </c>
      <c r="J20" s="25"/>
      <c r="K20" s="12"/>
      <c r="L20" s="12"/>
      <c r="M20" s="12">
        <v>180.81</v>
      </c>
      <c r="N20" s="12">
        <v>6.02</v>
      </c>
    </row>
    <row r="21" spans="2:14" ht="26.25">
      <c r="B21" s="22" t="s">
        <v>6</v>
      </c>
      <c r="C21" s="12">
        <v>511.77</v>
      </c>
      <c r="D21" s="12">
        <v>218.17</v>
      </c>
      <c r="E21" s="25">
        <f>(17.6+2.8+109.5+7.33+14.1+20.25+63.46+2.38)*0.0046</f>
        <v>1.092132</v>
      </c>
      <c r="F21" s="12">
        <f>C7*0.12</f>
        <v>61.4124</v>
      </c>
      <c r="G21" s="25">
        <f>(17.6+2.8+109.5+7.33+14.1+20.25+63.46+2.38)*0.22</f>
        <v>52.232400000000005</v>
      </c>
      <c r="H21" s="25"/>
      <c r="I21" s="12">
        <f>L21*2</f>
        <v>971.94</v>
      </c>
      <c r="J21" s="25"/>
      <c r="K21" s="12"/>
      <c r="L21" s="12">
        <v>485.97</v>
      </c>
      <c r="M21" s="12"/>
      <c r="N21" s="12"/>
    </row>
    <row r="22" spans="2:14" ht="26.25">
      <c r="B22" s="22" t="s">
        <v>7</v>
      </c>
      <c r="C22" s="12">
        <f>C8</f>
        <v>362.80999999999995</v>
      </c>
      <c r="D22" s="12">
        <v>214.46</v>
      </c>
      <c r="E22" s="25">
        <f>31*1.29</f>
        <v>39.99</v>
      </c>
      <c r="F22" s="25">
        <f>C8*0.12+31*0.21</f>
        <v>50.04719999999999</v>
      </c>
      <c r="G22" s="25">
        <f>(23.53+3.7+7.29+32.41+11.53+14.83)*0.22+31*5.06</f>
        <v>177.38379999999998</v>
      </c>
      <c r="H22" s="25"/>
      <c r="I22" s="12">
        <f>L22*2</f>
        <v>1119.88</v>
      </c>
      <c r="J22" s="25">
        <f>31*83.01</f>
        <v>2573.31</v>
      </c>
      <c r="K22" s="12"/>
      <c r="L22" s="12">
        <v>559.94</v>
      </c>
      <c r="M22" s="12"/>
      <c r="N22" s="12"/>
    </row>
    <row r="23" spans="2:14" ht="26.25">
      <c r="B23" s="22" t="s">
        <v>11</v>
      </c>
      <c r="C23" s="12">
        <v>60.5</v>
      </c>
      <c r="D23" s="12">
        <v>54.97</v>
      </c>
      <c r="E23" s="25"/>
      <c r="F23" s="25">
        <f>38.1*0.12</f>
        <v>4.572</v>
      </c>
      <c r="G23" s="25">
        <f>(7.58)*0.12</f>
        <v>0.9096</v>
      </c>
      <c r="H23" s="25"/>
      <c r="I23" s="12">
        <f>(L23+38.1)*2</f>
        <v>197.2</v>
      </c>
      <c r="J23" s="25"/>
      <c r="K23" s="12"/>
      <c r="L23" s="12">
        <v>60.5</v>
      </c>
      <c r="M23" s="12"/>
      <c r="N23" s="12"/>
    </row>
    <row r="24" spans="2:14" ht="26.25">
      <c r="B24" s="22" t="s">
        <v>8</v>
      </c>
      <c r="C24" s="12">
        <v>39.9</v>
      </c>
      <c r="D24" s="12">
        <v>21.39</v>
      </c>
      <c r="E24" s="25"/>
      <c r="F24" s="12"/>
      <c r="G24" s="25"/>
      <c r="H24" s="25"/>
      <c r="I24" s="12">
        <f>L24*2</f>
        <v>79.8</v>
      </c>
      <c r="J24" s="25"/>
      <c r="K24" s="12"/>
      <c r="L24" s="12">
        <v>39.9</v>
      </c>
      <c r="M24" s="12"/>
      <c r="N24" s="12"/>
    </row>
    <row r="25" spans="2:14" ht="12.75">
      <c r="B25" s="22" t="s">
        <v>9</v>
      </c>
      <c r="C25" s="12">
        <v>86.26</v>
      </c>
      <c r="D25" s="12">
        <v>30.02</v>
      </c>
      <c r="E25" s="25">
        <f>(25.1+6.18)*0.0046</f>
        <v>0.14388800000000002</v>
      </c>
      <c r="F25" s="12">
        <f>C11*0.12</f>
        <v>10.3512</v>
      </c>
      <c r="G25" s="25">
        <f>(25.1+6.18)*0.22</f>
        <v>6.881600000000001</v>
      </c>
      <c r="H25" s="25"/>
      <c r="I25" s="12">
        <f>(L25+N25)*2</f>
        <v>172.52</v>
      </c>
      <c r="J25" s="25"/>
      <c r="K25" s="12"/>
      <c r="L25" s="12">
        <v>73.87</v>
      </c>
      <c r="M25" s="12"/>
      <c r="N25" s="12">
        <v>12.39</v>
      </c>
    </row>
    <row r="26" spans="2:14" ht="26.25">
      <c r="B26" s="22" t="s">
        <v>10</v>
      </c>
      <c r="C26" s="12">
        <v>271.38</v>
      </c>
      <c r="D26" s="12">
        <v>90.97</v>
      </c>
      <c r="E26" s="25">
        <f>(25.03+73.09+25.03+26.41+7.12)*0.0046</f>
        <v>0.720728</v>
      </c>
      <c r="F26" s="12">
        <f>C12*0.12</f>
        <v>32.565599999999996</v>
      </c>
      <c r="G26" s="25">
        <f>(25.03+73.09+25.03+26.41+7.12)*0.22</f>
        <v>34.4696</v>
      </c>
      <c r="H26" s="25"/>
      <c r="I26" s="12">
        <f>L26*1.5</f>
        <v>407.07</v>
      </c>
      <c r="J26" s="25"/>
      <c r="K26" s="12"/>
      <c r="L26" s="12">
        <f>C26</f>
        <v>271.38</v>
      </c>
      <c r="M26" s="12"/>
      <c r="N26" s="12"/>
    </row>
    <row r="27" spans="2:19" s="3" customFormat="1" ht="12.75">
      <c r="B27" s="18" t="s">
        <v>2</v>
      </c>
      <c r="C27" s="18">
        <f>C13</f>
        <v>2005.38</v>
      </c>
      <c r="D27" s="18">
        <f aca="true" t="shared" si="1" ref="D27:N27">SUM(D18:D26)</f>
        <v>629.98</v>
      </c>
      <c r="E27" s="32">
        <f t="shared" si="1"/>
        <v>42.520368</v>
      </c>
      <c r="F27" s="18">
        <f t="shared" si="1"/>
        <v>239.67959999999997</v>
      </c>
      <c r="G27" s="33">
        <f t="shared" si="1"/>
        <v>299.31100000000004</v>
      </c>
      <c r="H27" s="18">
        <f t="shared" si="1"/>
        <v>6.866999999999999</v>
      </c>
      <c r="I27" s="18">
        <f t="shared" si="1"/>
        <v>4205.01</v>
      </c>
      <c r="J27" s="32">
        <f t="shared" si="1"/>
        <v>2573.31</v>
      </c>
      <c r="K27" s="18">
        <f t="shared" si="1"/>
        <v>125.82</v>
      </c>
      <c r="L27" s="18">
        <f t="shared" si="1"/>
        <v>1653.2400000000002</v>
      </c>
      <c r="M27" s="18">
        <f t="shared" si="1"/>
        <v>310.78999999999996</v>
      </c>
      <c r="N27" s="18">
        <f t="shared" si="1"/>
        <v>42.400000000000006</v>
      </c>
      <c r="O27" s="2"/>
      <c r="Q27" s="2"/>
      <c r="R27" s="2"/>
      <c r="S27" s="2"/>
    </row>
    <row r="28" spans="2:19" s="3" customFormat="1" ht="12.75">
      <c r="B28" s="41"/>
      <c r="C28" s="41"/>
      <c r="D28" s="41"/>
      <c r="E28" s="53"/>
      <c r="F28" s="41"/>
      <c r="G28" s="54"/>
      <c r="H28" s="41"/>
      <c r="I28" s="41"/>
      <c r="J28" s="53"/>
      <c r="K28" s="41"/>
      <c r="L28" s="41"/>
      <c r="M28" s="41"/>
      <c r="N28" s="41"/>
      <c r="O28" s="2"/>
      <c r="Q28" s="2"/>
      <c r="R28" s="2"/>
      <c r="S28" s="2"/>
    </row>
    <row r="29" spans="2:19" s="3" customFormat="1" ht="12.7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1"/>
      <c r="O29" s="2"/>
      <c r="P29" s="2"/>
      <c r="Q29" s="2"/>
      <c r="R29" s="2"/>
      <c r="S29" s="2"/>
    </row>
    <row r="30" spans="2:19" s="3" customFormat="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8"/>
      <c r="N30" s="2"/>
      <c r="O30" s="2"/>
      <c r="P30" s="2"/>
      <c r="Q30" s="2"/>
      <c r="R30" s="2"/>
      <c r="S30" s="2"/>
    </row>
    <row r="31" spans="2:19" s="3" customFormat="1" ht="12.75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8"/>
      <c r="N31" s="2"/>
      <c r="O31" s="2"/>
      <c r="P31" s="2"/>
      <c r="Q31" s="2"/>
      <c r="R31" s="2"/>
      <c r="S31" s="2"/>
    </row>
    <row r="32" spans="2:19" s="3" customFormat="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8"/>
      <c r="N32" s="2"/>
      <c r="O32" s="2"/>
      <c r="P32" s="2"/>
      <c r="Q32" s="2"/>
      <c r="R32" s="2"/>
      <c r="S32" s="2"/>
    </row>
    <row r="33" ht="12.75">
      <c r="B33" s="1"/>
    </row>
    <row r="34" ht="12.75">
      <c r="B34" s="2"/>
    </row>
    <row r="35" ht="12.75">
      <c r="B35" s="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50" zoomScaleNormal="50" workbookViewId="0" topLeftCell="A1">
      <selection activeCell="E14" sqref="E14"/>
    </sheetView>
  </sheetViews>
  <sheetFormatPr defaultColWidth="9.140625" defaultRowHeight="12.75"/>
  <cols>
    <col min="1" max="1" width="51.7109375" style="0" customWidth="1"/>
    <col min="2" max="2" width="17.421875" style="9" customWidth="1"/>
    <col min="3" max="3" width="17.140625" style="9" customWidth="1"/>
    <col min="4" max="4" width="13.00390625" style="9" customWidth="1"/>
    <col min="5" max="5" width="17.140625" style="9" customWidth="1"/>
    <col min="6" max="6" width="13.8515625" style="9" customWidth="1"/>
    <col min="7" max="7" width="15.57421875" style="9" customWidth="1"/>
    <col min="8" max="8" width="13.7109375" style="9" customWidth="1"/>
    <col min="13" max="13" width="15.140625" style="0" customWidth="1"/>
  </cols>
  <sheetData>
    <row r="1" ht="17.25">
      <c r="A1" s="7" t="s">
        <v>49</v>
      </c>
    </row>
    <row r="3" spans="1:8" s="8" customFormat="1" ht="12.75">
      <c r="A3" s="14" t="s">
        <v>28</v>
      </c>
      <c r="B3" s="14" t="s">
        <v>20</v>
      </c>
      <c r="C3" s="14" t="s">
        <v>21</v>
      </c>
      <c r="D3" s="14" t="s">
        <v>22</v>
      </c>
      <c r="E3" s="14" t="s">
        <v>50</v>
      </c>
      <c r="F3" s="14" t="s">
        <v>51</v>
      </c>
      <c r="G3" s="14" t="s">
        <v>53</v>
      </c>
      <c r="H3" s="14" t="s">
        <v>73</v>
      </c>
    </row>
    <row r="4" spans="1:8" ht="52.5">
      <c r="A4" s="14" t="s">
        <v>61</v>
      </c>
      <c r="B4" s="16" t="s">
        <v>89</v>
      </c>
      <c r="C4" s="16" t="s">
        <v>88</v>
      </c>
      <c r="D4" s="16" t="s">
        <v>69</v>
      </c>
      <c r="E4" s="16" t="s">
        <v>76</v>
      </c>
      <c r="F4" s="16" t="s">
        <v>52</v>
      </c>
      <c r="G4" s="16" t="s">
        <v>70</v>
      </c>
      <c r="H4" s="16" t="s">
        <v>54</v>
      </c>
    </row>
    <row r="5" spans="1:8" ht="12.75">
      <c r="A5" s="10" t="s">
        <v>3</v>
      </c>
      <c r="B5" s="12">
        <f>5.94*0.9+2.52*0.6+3.13*0.4</f>
        <v>8.110000000000001</v>
      </c>
      <c r="C5" s="12">
        <f>8.74*0.9+7.96*0.3</f>
        <v>10.254000000000001</v>
      </c>
      <c r="D5" s="12">
        <f>34.85+32.65+23.64+14.19+16.8</f>
        <v>122.13</v>
      </c>
      <c r="E5" s="12">
        <f>8.74+35.86*0.9+5.94+12.25*0.9+2.52+7.45*0.6+3.13+7.5*0.4</f>
        <v>71.099</v>
      </c>
      <c r="F5" s="34">
        <f>5*2*0.5*0.25*0.35</f>
        <v>0.4375</v>
      </c>
      <c r="G5" s="34">
        <f>5*2*2*(0.25+0.5)*0.35</f>
        <v>5.25</v>
      </c>
      <c r="H5" s="35"/>
    </row>
    <row r="6" spans="1:8" ht="12.75">
      <c r="A6" s="10" t="s">
        <v>4</v>
      </c>
      <c r="B6" s="12"/>
      <c r="C6" s="12"/>
      <c r="D6" s="12"/>
      <c r="E6" s="12"/>
      <c r="F6" s="34">
        <f>3*2*0.5*0.25*0.35</f>
        <v>0.26249999999999996</v>
      </c>
      <c r="G6" s="34">
        <f>3*2*2*(0.25+0.5)*0.35</f>
        <v>3.15</v>
      </c>
      <c r="H6" s="35">
        <f>6.83*3.5</f>
        <v>23.905</v>
      </c>
    </row>
    <row r="7" spans="1:8" ht="12.75">
      <c r="A7" s="10" t="s">
        <v>5</v>
      </c>
      <c r="B7" s="12"/>
      <c r="C7" s="12">
        <f>(6.29+3.72)*0.4</f>
        <v>4.0040000000000004</v>
      </c>
      <c r="D7" s="12">
        <f>25.84+16.63</f>
        <v>42.47</v>
      </c>
      <c r="E7" s="12">
        <f>6.2+26.34*0.4+3.72+17.63*0.4</f>
        <v>27.508</v>
      </c>
      <c r="F7" s="34">
        <f>2*2*0.5*0.25*0.35</f>
        <v>0.175</v>
      </c>
      <c r="G7" s="34">
        <f>2*2*2*(0.25+0.5)*0.35</f>
        <v>2.0999999999999996</v>
      </c>
      <c r="H7" s="35">
        <f>(10.98+10.18+10)*0.4</f>
        <v>12.464</v>
      </c>
    </row>
    <row r="8" spans="1:8" ht="12.75">
      <c r="A8" s="10" t="s">
        <v>6</v>
      </c>
      <c r="B8" s="12">
        <f>0.94*1.5</f>
        <v>1.41</v>
      </c>
      <c r="C8" s="12"/>
      <c r="D8" s="12">
        <v>2</v>
      </c>
      <c r="E8" s="12">
        <v>2</v>
      </c>
      <c r="F8" s="34"/>
      <c r="G8" s="34"/>
      <c r="H8" s="35"/>
    </row>
    <row r="9" spans="1:8" ht="15" customHeight="1">
      <c r="A9" s="10" t="s">
        <v>7</v>
      </c>
      <c r="B9" s="12">
        <f>3.6*1+2.53*0.5+5*2</f>
        <v>14.865</v>
      </c>
      <c r="C9" s="12">
        <f>17.77*0.4+14.85*0.5</f>
        <v>14.533000000000001</v>
      </c>
      <c r="D9" s="12">
        <f>72.18+9.23+11.19+64.91</f>
        <v>157.51</v>
      </c>
      <c r="E9" s="12">
        <f>17.77+72.19*0.4+3.61+7.23+2.53+11.19*0.5+14.85+63.91*0.5+10.4*2</f>
        <v>133.216</v>
      </c>
      <c r="F9" s="34"/>
      <c r="G9" s="34"/>
      <c r="H9" s="35"/>
    </row>
    <row r="10" spans="1:8" ht="12.75">
      <c r="A10" s="10" t="s">
        <v>11</v>
      </c>
      <c r="B10" s="12"/>
      <c r="C10" s="12"/>
      <c r="D10" s="12"/>
      <c r="E10" s="12"/>
      <c r="F10" s="34"/>
      <c r="G10" s="34"/>
      <c r="H10" s="35"/>
    </row>
    <row r="11" spans="1:8" ht="12.75">
      <c r="A11" s="10" t="s">
        <v>8</v>
      </c>
      <c r="B11" s="12"/>
      <c r="C11" s="12"/>
      <c r="D11" s="12"/>
      <c r="E11" s="12"/>
      <c r="F11" s="34"/>
      <c r="G11" s="34"/>
      <c r="H11" s="35"/>
    </row>
    <row r="12" spans="1:8" ht="12.75">
      <c r="A12" s="10" t="s">
        <v>9</v>
      </c>
      <c r="B12" s="12">
        <f>8.5*1</f>
        <v>8.5</v>
      </c>
      <c r="C12" s="12"/>
      <c r="D12" s="12">
        <v>17.74</v>
      </c>
      <c r="E12" s="12">
        <f>17.74*1</f>
        <v>17.74</v>
      </c>
      <c r="F12" s="34"/>
      <c r="G12" s="34"/>
      <c r="H12" s="35">
        <f>4.45*1</f>
        <v>4.45</v>
      </c>
    </row>
    <row r="13" spans="1:8" ht="12.75">
      <c r="A13" s="10" t="s">
        <v>10</v>
      </c>
      <c r="B13" s="12"/>
      <c r="C13" s="12"/>
      <c r="D13" s="12"/>
      <c r="E13" s="12"/>
      <c r="F13" s="34"/>
      <c r="G13" s="34"/>
      <c r="H13" s="35"/>
    </row>
    <row r="14" spans="1:8" s="3" customFormat="1" ht="12.75">
      <c r="A14" s="13" t="s">
        <v>12</v>
      </c>
      <c r="B14" s="14">
        <f>SUM(B5:B12)</f>
        <v>32.885000000000005</v>
      </c>
      <c r="C14" s="14">
        <f>SUM(C5:C12)</f>
        <v>28.791000000000004</v>
      </c>
      <c r="D14" s="14">
        <f>SUM(D5:D12)</f>
        <v>341.85</v>
      </c>
      <c r="E14" s="14">
        <f>SUM(E5:E13)</f>
        <v>251.56300000000002</v>
      </c>
      <c r="F14" s="14">
        <f>SUM(F5:F12)</f>
        <v>0.875</v>
      </c>
      <c r="G14" s="14">
        <f>SUM(G5:G12)</f>
        <v>10.5</v>
      </c>
      <c r="H14" s="36">
        <f>SUM(H5:H12)</f>
        <v>40.819</v>
      </c>
    </row>
    <row r="17" ht="17.25">
      <c r="A17" s="7" t="s">
        <v>55</v>
      </c>
    </row>
    <row r="19" spans="1:7" s="8" customFormat="1" ht="12.75">
      <c r="A19" s="14" t="s">
        <v>28</v>
      </c>
      <c r="B19" s="14" t="s">
        <v>56</v>
      </c>
      <c r="C19" s="14" t="s">
        <v>60</v>
      </c>
      <c r="D19" s="14" t="s">
        <v>57</v>
      </c>
      <c r="E19" s="14" t="s">
        <v>75</v>
      </c>
      <c r="F19" s="14" t="s">
        <v>90</v>
      </c>
      <c r="G19" s="14" t="s">
        <v>91</v>
      </c>
    </row>
    <row r="20" spans="1:8" ht="54" customHeight="1">
      <c r="A20" s="14" t="s">
        <v>61</v>
      </c>
      <c r="B20" s="16" t="s">
        <v>58</v>
      </c>
      <c r="C20" s="16" t="s">
        <v>59</v>
      </c>
      <c r="D20" s="16" t="s">
        <v>74</v>
      </c>
      <c r="E20" s="16" t="s">
        <v>77</v>
      </c>
      <c r="F20" s="16" t="s">
        <v>92</v>
      </c>
      <c r="G20" s="16" t="s">
        <v>93</v>
      </c>
      <c r="H20" s="1"/>
    </row>
    <row r="21" spans="1:7" ht="12.75">
      <c r="A21" s="27" t="s">
        <v>3</v>
      </c>
      <c r="B21" s="23">
        <f>8*2.3*0.25*0.05+4*3*0.1*0.05+2*2.65*0.1*0.05+10*0.05*1.2*0.5</f>
        <v>0.6165</v>
      </c>
      <c r="C21" s="23">
        <f>8*2.3*(0.25+0.05)*2+4*3*(0.1+0.05)*2+2*2.65*(0.1+0.05)*2+10*2*0.5*1.2</f>
        <v>28.23</v>
      </c>
      <c r="D21" s="26">
        <v>16</v>
      </c>
      <c r="E21" s="26">
        <v>150</v>
      </c>
      <c r="F21" s="55">
        <v>2</v>
      </c>
      <c r="G21" s="55">
        <v>1</v>
      </c>
    </row>
    <row r="22" spans="1:7" ht="12.75">
      <c r="A22" s="10" t="s">
        <v>4</v>
      </c>
      <c r="B22" s="12"/>
      <c r="C22" s="12" t="s">
        <v>71</v>
      </c>
      <c r="D22" s="11"/>
      <c r="E22" s="11"/>
      <c r="F22" s="34">
        <v>1</v>
      </c>
      <c r="G22" s="34"/>
    </row>
    <row r="23" spans="1:7" ht="12.75">
      <c r="A23" s="10" t="s">
        <v>5</v>
      </c>
      <c r="B23" s="12"/>
      <c r="C23" s="12"/>
      <c r="D23" s="11"/>
      <c r="E23" s="11"/>
      <c r="F23" s="34">
        <v>1</v>
      </c>
      <c r="G23" s="34"/>
    </row>
    <row r="24" spans="1:7" ht="12.75">
      <c r="A24" s="10" t="s">
        <v>6</v>
      </c>
      <c r="B24" s="12"/>
      <c r="C24" s="12"/>
      <c r="D24" s="11"/>
      <c r="E24" s="11"/>
      <c r="F24" s="34"/>
      <c r="G24" s="34"/>
    </row>
    <row r="25" spans="1:7" ht="15" customHeight="1">
      <c r="A25" s="10" t="s">
        <v>7</v>
      </c>
      <c r="B25" s="12"/>
      <c r="C25" s="12"/>
      <c r="D25" s="11"/>
      <c r="E25" s="11"/>
      <c r="F25" s="34">
        <v>1</v>
      </c>
      <c r="G25" s="34"/>
    </row>
    <row r="26" spans="1:7" ht="12.75">
      <c r="A26" s="10" t="s">
        <v>11</v>
      </c>
      <c r="B26" s="12"/>
      <c r="C26" s="12"/>
      <c r="D26" s="11"/>
      <c r="E26" s="11"/>
      <c r="F26" s="34"/>
      <c r="G26" s="34"/>
    </row>
    <row r="27" spans="1:7" ht="12.75">
      <c r="A27" s="10" t="s">
        <v>8</v>
      </c>
      <c r="B27" s="12"/>
      <c r="C27" s="12"/>
      <c r="D27" s="11"/>
      <c r="E27" s="11"/>
      <c r="F27" s="34"/>
      <c r="G27" s="34"/>
    </row>
    <row r="28" spans="1:7" ht="12.75">
      <c r="A28" s="10" t="s">
        <v>9</v>
      </c>
      <c r="B28" s="12"/>
      <c r="C28" s="12"/>
      <c r="D28" s="11"/>
      <c r="E28" s="11"/>
      <c r="F28" s="34"/>
      <c r="G28" s="34"/>
    </row>
    <row r="29" spans="1:7" ht="12.75">
      <c r="A29" s="10" t="s">
        <v>10</v>
      </c>
      <c r="B29" s="24"/>
      <c r="C29" s="24"/>
      <c r="D29" s="11"/>
      <c r="E29" s="11"/>
      <c r="F29" s="56"/>
      <c r="G29" s="56"/>
    </row>
    <row r="30" spans="1:7" ht="12.75">
      <c r="A30" s="13" t="s">
        <v>12</v>
      </c>
      <c r="B30" s="14">
        <f aca="true" t="shared" si="0" ref="B30:G30">SUM(B21:B29)</f>
        <v>0.6165</v>
      </c>
      <c r="C30" s="14">
        <f t="shared" si="0"/>
        <v>28.23</v>
      </c>
      <c r="D30" s="14">
        <f t="shared" si="0"/>
        <v>16</v>
      </c>
      <c r="E30" s="14">
        <f t="shared" si="0"/>
        <v>150</v>
      </c>
      <c r="F30" s="57">
        <f t="shared" si="0"/>
        <v>5</v>
      </c>
      <c r="G30" s="57">
        <f t="shared" si="0"/>
        <v>1</v>
      </c>
    </row>
    <row r="33" ht="17.25">
      <c r="A33" s="7" t="s">
        <v>62</v>
      </c>
    </row>
    <row r="35" spans="1:8" s="8" customFormat="1" ht="12.75">
      <c r="A35" s="14" t="s">
        <v>28</v>
      </c>
      <c r="B35" s="14" t="s">
        <v>63</v>
      </c>
      <c r="C35" s="14" t="s">
        <v>64</v>
      </c>
      <c r="D35" s="14" t="s">
        <v>65</v>
      </c>
      <c r="F35" s="43"/>
      <c r="G35" s="44" t="s">
        <v>82</v>
      </c>
      <c r="H35" s="45"/>
    </row>
    <row r="36" spans="1:8" ht="39" customHeight="1">
      <c r="A36" s="14" t="s">
        <v>61</v>
      </c>
      <c r="B36" s="16" t="s">
        <v>66</v>
      </c>
      <c r="C36" s="16" t="s">
        <v>67</v>
      </c>
      <c r="D36" s="16" t="s">
        <v>68</v>
      </c>
      <c r="E36" s="1"/>
      <c r="F36" s="46"/>
      <c r="G36" s="47"/>
      <c r="H36" s="11"/>
    </row>
    <row r="37" spans="1:8" ht="12.75">
      <c r="A37" s="27" t="s">
        <v>3</v>
      </c>
      <c r="B37" s="23">
        <v>14</v>
      </c>
      <c r="C37" s="23">
        <v>14</v>
      </c>
      <c r="D37" s="26">
        <v>7</v>
      </c>
      <c r="E37" s="1"/>
      <c r="F37" s="48"/>
      <c r="G37" s="41" t="s">
        <v>79</v>
      </c>
      <c r="H37" s="35"/>
    </row>
    <row r="38" spans="1:8" ht="12.75">
      <c r="A38" s="10" t="s">
        <v>4</v>
      </c>
      <c r="B38" s="12"/>
      <c r="C38" s="12"/>
      <c r="D38" s="11"/>
      <c r="E38" s="1"/>
      <c r="F38" s="48"/>
      <c r="G38" s="47"/>
      <c r="H38" s="35"/>
    </row>
    <row r="39" spans="1:8" ht="12.75">
      <c r="A39" s="10" t="s">
        <v>5</v>
      </c>
      <c r="B39" s="12"/>
      <c r="C39" s="12"/>
      <c r="D39" s="11"/>
      <c r="E39" s="1"/>
      <c r="F39" s="48"/>
      <c r="G39" s="47"/>
      <c r="H39" s="35"/>
    </row>
    <row r="40" spans="1:8" ht="12.75">
      <c r="A40" s="10" t="s">
        <v>6</v>
      </c>
      <c r="B40" s="12"/>
      <c r="C40" s="12"/>
      <c r="D40" s="11"/>
      <c r="E40" s="1"/>
      <c r="F40" s="48"/>
      <c r="G40" s="47"/>
      <c r="H40" s="35"/>
    </row>
    <row r="41" spans="1:8" ht="15" customHeight="1">
      <c r="A41" s="10" t="s">
        <v>7</v>
      </c>
      <c r="B41" s="12"/>
      <c r="C41" s="12"/>
      <c r="D41" s="11"/>
      <c r="E41" s="1"/>
      <c r="F41" s="48"/>
      <c r="G41" s="42" t="s">
        <v>80</v>
      </c>
      <c r="H41" s="35"/>
    </row>
    <row r="42" spans="1:8" ht="12.75">
      <c r="A42" s="10" t="s">
        <v>11</v>
      </c>
      <c r="B42" s="12"/>
      <c r="C42" s="12"/>
      <c r="D42" s="11"/>
      <c r="E42" s="1"/>
      <c r="F42" s="48"/>
      <c r="G42" s="47" t="s">
        <v>81</v>
      </c>
      <c r="H42" s="35"/>
    </row>
    <row r="43" spans="1:8" ht="12.75">
      <c r="A43" s="10" t="s">
        <v>8</v>
      </c>
      <c r="B43" s="12"/>
      <c r="C43" s="12"/>
      <c r="D43" s="11"/>
      <c r="E43" s="1"/>
      <c r="F43" s="48"/>
      <c r="G43" s="47"/>
      <c r="H43" s="35"/>
    </row>
    <row r="44" spans="1:8" ht="12.75">
      <c r="A44" s="10" t="s">
        <v>9</v>
      </c>
      <c r="B44" s="12"/>
      <c r="C44" s="12"/>
      <c r="D44" s="11"/>
      <c r="E44" s="1"/>
      <c r="F44" s="48"/>
      <c r="G44" s="47"/>
      <c r="H44" s="35"/>
    </row>
    <row r="45" spans="1:8" ht="12.75">
      <c r="A45" s="28" t="s">
        <v>10</v>
      </c>
      <c r="B45" s="24"/>
      <c r="C45" s="24"/>
      <c r="D45" s="29"/>
      <c r="E45" s="1"/>
      <c r="F45" s="48"/>
      <c r="G45" s="47"/>
      <c r="H45" s="35"/>
    </row>
    <row r="46" spans="1:8" ht="12.75">
      <c r="A46" s="15" t="s">
        <v>12</v>
      </c>
      <c r="B46" s="14">
        <f>SUM(B37:B45)</f>
        <v>14</v>
      </c>
      <c r="C46" s="14">
        <f>SUM(C37:C44)</f>
        <v>14</v>
      </c>
      <c r="D46" s="14">
        <f>SUM(D37:D45)</f>
        <v>7</v>
      </c>
      <c r="F46" s="49"/>
      <c r="G46" s="50"/>
      <c r="H46" s="51"/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tsivio</dc:creator>
  <cp:keywords/>
  <dc:description/>
  <cp:lastModifiedBy>tsivio</cp:lastModifiedBy>
  <cp:lastPrinted>2012-11-22T09:02:23Z</cp:lastPrinted>
  <dcterms:created xsi:type="dcterms:W3CDTF">2012-07-18T09:51:14Z</dcterms:created>
  <dcterms:modified xsi:type="dcterms:W3CDTF">2013-04-01T06:37:52Z</dcterms:modified>
  <cp:category/>
  <cp:version/>
  <cp:contentType/>
  <cp:contentStatus/>
</cp:coreProperties>
</file>